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Rating bridas" sheetId="1" r:id="rId1"/>
  </sheets>
  <definedNames>
    <definedName name="_xlnm.Print_Area" localSheetId="0">'Rating bridas'!$B$1:$O$22</definedName>
  </definedNames>
  <calcPr fullCalcOnLoad="1"/>
</workbook>
</file>

<file path=xl/sharedStrings.xml><?xml version="1.0" encoding="utf-8"?>
<sst xmlns="http://schemas.openxmlformats.org/spreadsheetml/2006/main" count="44" uniqueCount="34">
  <si>
    <t>T (ºC)</t>
  </si>
  <si>
    <t>Índice</t>
  </si>
  <si>
    <t>a</t>
  </si>
  <si>
    <t>b</t>
  </si>
  <si>
    <t>P (barg)</t>
  </si>
  <si>
    <t>Margen de seguridad</t>
  </si>
  <si>
    <t>PN2,5</t>
  </si>
  <si>
    <t>PN6</t>
  </si>
  <si>
    <t>PN10</t>
  </si>
  <si>
    <t>PN16</t>
  </si>
  <si>
    <t>PN25</t>
  </si>
  <si>
    <t>PN40</t>
  </si>
  <si>
    <t>PN63</t>
  </si>
  <si>
    <t>PN100</t>
  </si>
  <si>
    <t>PN160</t>
  </si>
  <si>
    <t>PN250</t>
  </si>
  <si>
    <t>PN320</t>
  </si>
  <si>
    <t>PN400</t>
  </si>
  <si>
    <t>DN</t>
  </si>
  <si>
    <t>Rating bridas DIN según EN 1092-1:2008   -   Grupo de material: 3E0   -   Material: EN 10273 P250GH / DIN 17243 C22.8</t>
  </si>
  <si>
    <t>DIN</t>
  </si>
  <si>
    <t>150#</t>
  </si>
  <si>
    <t>300#</t>
  </si>
  <si>
    <t>400#</t>
  </si>
  <si>
    <t>600#</t>
  </si>
  <si>
    <t>900#</t>
  </si>
  <si>
    <t>1500#</t>
  </si>
  <si>
    <t>2500#</t>
  </si>
  <si>
    <t>Rating bridas según ASME B16.5-2009   -   Grupo de material: 1.1   -   Material: A 105 (designación nominal: C-Si)</t>
  </si>
  <si>
    <t>ASME</t>
  </si>
  <si>
    <t>Tabla para selección rápida de bridas DIN y ANSI en función de la temperatura y presión de servicio</t>
  </si>
  <si>
    <t>Solo pueden modificarse las celdas sobre fondo gris.</t>
  </si>
  <si>
    <t>Introduzca la temperatura de trabajo (ºC) y la presión manométrica de trabajo (barg) y se mostrará el tipo de brida necesario y el margen de seguridad con el que se trabajará.</t>
  </si>
  <si>
    <t>Tabla preparada a partir de la información recogida de distintos fabricantes de bridas. Esta tabla no suple la necesidad de cálculo según el código de diseño que corresponda.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</si>
</sst>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2" fillId="16" borderId="16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horizontal="right"/>
    </xf>
    <xf numFmtId="3" fontId="2" fillId="16" borderId="11" xfId="0" applyNumberFormat="1" applyFont="1" applyFill="1" applyBorder="1" applyAlignment="1" applyProtection="1">
      <alignment/>
      <protection locked="0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164" fontId="4" fillId="0" borderId="16" xfId="0" applyNumberFormat="1" applyFont="1" applyFill="1" applyBorder="1" applyAlignment="1" applyProtection="1">
      <alignment/>
      <protection/>
    </xf>
    <xf numFmtId="0" fontId="0" fillId="22" borderId="0" xfId="0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9"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tabSelected="1" zoomScalePageLayoutView="0" workbookViewId="0" topLeftCell="A1">
      <selection activeCell="C5" sqref="C5"/>
    </sheetView>
  </sheetViews>
  <sheetFormatPr defaultColWidth="11.421875" defaultRowHeight="15"/>
  <cols>
    <col min="1" max="1" width="5.140625" style="0" customWidth="1"/>
    <col min="3" max="3" width="11.57421875" style="0" bestFit="1" customWidth="1"/>
  </cols>
  <sheetData>
    <row r="1" spans="1:16" ht="23.25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ht="15">
      <c r="B2" s="26"/>
    </row>
    <row r="3" ht="15">
      <c r="B3" s="26"/>
    </row>
    <row r="4" spans="2:22" ht="15" customHeight="1">
      <c r="B4" s="53" t="s">
        <v>19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R4" s="44"/>
      <c r="S4" s="40"/>
      <c r="T4" s="40"/>
      <c r="U4" s="40"/>
      <c r="V4" s="40"/>
    </row>
    <row r="5" spans="2:18" ht="15">
      <c r="B5" s="35" t="s">
        <v>18</v>
      </c>
      <c r="C5" s="36">
        <v>100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27" t="s">
        <v>17</v>
      </c>
      <c r="Q5" s="44"/>
      <c r="R5" s="44"/>
    </row>
    <row r="6" spans="2:18" ht="15">
      <c r="B6" s="8" t="s">
        <v>0</v>
      </c>
      <c r="C6" s="34">
        <v>190</v>
      </c>
      <c r="D6" s="9" t="str">
        <f>IF($C$7&lt;D7,"↑"," ")</f>
        <v> </v>
      </c>
      <c r="E6" s="9" t="str">
        <f aca="true" t="shared" si="0" ref="E6:O6">IF(AND(E7&gt;$C$7,D7&lt;=$C$7),"↑"," ")</f>
        <v> </v>
      </c>
      <c r="F6" s="9" t="str">
        <f t="shared" si="0"/>
        <v> </v>
      </c>
      <c r="G6" s="9" t="str">
        <f t="shared" si="0"/>
        <v>↑</v>
      </c>
      <c r="H6" s="9" t="str">
        <f t="shared" si="0"/>
        <v> </v>
      </c>
      <c r="I6" s="9" t="str">
        <f t="shared" si="0"/>
        <v> </v>
      </c>
      <c r="J6" s="9" t="str">
        <f t="shared" si="0"/>
        <v> </v>
      </c>
      <c r="K6" s="9" t="str">
        <f t="shared" si="0"/>
        <v> </v>
      </c>
      <c r="L6" s="9" t="str">
        <f t="shared" si="0"/>
        <v> </v>
      </c>
      <c r="M6" s="9" t="str">
        <f t="shared" si="0"/>
        <v> </v>
      </c>
      <c r="N6" s="9" t="str">
        <f t="shared" si="0"/>
        <v> </v>
      </c>
      <c r="O6" s="10" t="str">
        <f t="shared" si="0"/>
        <v> </v>
      </c>
      <c r="Q6" s="44"/>
      <c r="R6" s="44"/>
    </row>
    <row r="7" spans="2:18" ht="15">
      <c r="B7" s="8" t="s">
        <v>4</v>
      </c>
      <c r="C7" s="34">
        <v>12</v>
      </c>
      <c r="D7" s="11">
        <f aca="true" t="shared" si="1" ref="D7:O7">D40*$C$6+D41</f>
        <v>2.04</v>
      </c>
      <c r="E7" s="11">
        <f t="shared" si="1"/>
        <v>5.04</v>
      </c>
      <c r="F7" s="11">
        <f t="shared" si="1"/>
        <v>8.4</v>
      </c>
      <c r="G7" s="11">
        <f t="shared" si="1"/>
        <v>13.440000000000001</v>
      </c>
      <c r="H7" s="11">
        <f t="shared" si="1"/>
        <v>21.04</v>
      </c>
      <c r="I7" s="11">
        <f t="shared" si="1"/>
        <v>33.68</v>
      </c>
      <c r="J7" s="11">
        <f t="shared" si="1"/>
        <v>53.1</v>
      </c>
      <c r="K7" s="11">
        <f t="shared" si="1"/>
        <v>84.24</v>
      </c>
      <c r="L7" s="11">
        <f t="shared" si="1"/>
        <v>134.82000000000002</v>
      </c>
      <c r="M7" s="11">
        <f t="shared" si="1"/>
        <v>196.86</v>
      </c>
      <c r="N7" s="11">
        <f t="shared" si="1"/>
        <v>251.96000000000004</v>
      </c>
      <c r="O7" s="12">
        <f t="shared" si="1"/>
        <v>314.98</v>
      </c>
      <c r="Q7" s="44"/>
      <c r="R7" s="44"/>
    </row>
    <row r="8" spans="2:18" ht="15">
      <c r="B8" s="56" t="s">
        <v>5</v>
      </c>
      <c r="C8" s="57"/>
      <c r="D8" s="13" t="str">
        <f aca="true" t="shared" si="2" ref="D8:O8">IF(D6&lt;&gt;" ",(D7-$C$7)/D7," ")</f>
        <v> </v>
      </c>
      <c r="E8" s="13" t="str">
        <f t="shared" si="2"/>
        <v> </v>
      </c>
      <c r="F8" s="13" t="str">
        <f t="shared" si="2"/>
        <v> </v>
      </c>
      <c r="G8" s="13">
        <f t="shared" si="2"/>
        <v>0.10714285714285723</v>
      </c>
      <c r="H8" s="13" t="str">
        <f t="shared" si="2"/>
        <v> </v>
      </c>
      <c r="I8" s="13" t="str">
        <f t="shared" si="2"/>
        <v> </v>
      </c>
      <c r="J8" s="13" t="str">
        <f t="shared" si="2"/>
        <v> </v>
      </c>
      <c r="K8" s="13" t="str">
        <f t="shared" si="2"/>
        <v> </v>
      </c>
      <c r="L8" s="13" t="str">
        <f t="shared" si="2"/>
        <v> </v>
      </c>
      <c r="M8" s="13" t="str">
        <f t="shared" si="2"/>
        <v> </v>
      </c>
      <c r="N8" s="13" t="str">
        <f t="shared" si="2"/>
        <v> </v>
      </c>
      <c r="O8" s="14" t="str">
        <f t="shared" si="2"/>
        <v> </v>
      </c>
      <c r="Q8" s="44"/>
      <c r="R8" s="44"/>
    </row>
    <row r="9" spans="2:15" ht="15">
      <c r="B9" s="45" t="str">
        <f>IF(C6&lt;=400," ",IF(AND(C6&gt;400,C6&lt;=450),"Temperatura demasiado cercana al límite del material",IF(C6&gt;450,"La temperatura supera el límite del material. Cambie de material")))</f>
        <v> 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2:15" ht="15">
      <c r="B10" s="38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ht="15">
      <c r="B11" s="26"/>
      <c r="K11" s="39"/>
      <c r="L11" s="39"/>
      <c r="M11" s="39"/>
      <c r="N11" s="39"/>
      <c r="O11" s="39"/>
    </row>
    <row r="12" spans="2:15" ht="15" customHeight="1">
      <c r="B12" s="53" t="s">
        <v>28</v>
      </c>
      <c r="C12" s="54"/>
      <c r="D12" s="54"/>
      <c r="E12" s="54"/>
      <c r="F12" s="54"/>
      <c r="G12" s="54"/>
      <c r="H12" s="54"/>
      <c r="I12" s="54"/>
      <c r="J12" s="55"/>
      <c r="K12" s="39"/>
      <c r="M12" s="44"/>
      <c r="N12" s="39"/>
      <c r="O12" s="39"/>
    </row>
    <row r="13" spans="2:15" ht="15">
      <c r="B13" s="7"/>
      <c r="C13" s="42"/>
      <c r="D13" s="17" t="s">
        <v>21</v>
      </c>
      <c r="E13" s="18" t="s">
        <v>22</v>
      </c>
      <c r="F13" s="18" t="s">
        <v>23</v>
      </c>
      <c r="G13" s="18" t="s">
        <v>24</v>
      </c>
      <c r="H13" s="18" t="s">
        <v>25</v>
      </c>
      <c r="I13" s="18" t="s">
        <v>26</v>
      </c>
      <c r="J13" s="27" t="s">
        <v>27</v>
      </c>
      <c r="K13" s="39"/>
      <c r="L13" s="44"/>
      <c r="M13" s="44"/>
      <c r="N13" s="39"/>
      <c r="O13" s="39"/>
    </row>
    <row r="14" spans="2:15" ht="15">
      <c r="B14" s="8" t="s">
        <v>0</v>
      </c>
      <c r="C14" s="47">
        <f>C6</f>
        <v>190</v>
      </c>
      <c r="D14" s="9" t="str">
        <f>IF($C$15&lt;D15,"↑"," ")</f>
        <v>↑</v>
      </c>
      <c r="E14" s="9" t="str">
        <f aca="true" t="shared" si="3" ref="E14:J14">IF(AND(E15&gt;$C$15,D15&lt;=$C$15),"↑"," ")</f>
        <v> </v>
      </c>
      <c r="F14" s="9" t="str">
        <f t="shared" si="3"/>
        <v> </v>
      </c>
      <c r="G14" s="9" t="str">
        <f t="shared" si="3"/>
        <v> </v>
      </c>
      <c r="H14" s="9" t="str">
        <f t="shared" si="3"/>
        <v> </v>
      </c>
      <c r="I14" s="9" t="str">
        <f t="shared" si="3"/>
        <v> </v>
      </c>
      <c r="J14" s="10" t="str">
        <f t="shared" si="3"/>
        <v> </v>
      </c>
      <c r="K14" s="39"/>
      <c r="L14" s="44"/>
      <c r="M14" s="44"/>
      <c r="N14" s="39"/>
      <c r="O14" s="39"/>
    </row>
    <row r="15" spans="2:15" ht="15">
      <c r="B15" s="8" t="s">
        <v>4</v>
      </c>
      <c r="C15" s="47">
        <f>C7</f>
        <v>12</v>
      </c>
      <c r="D15" s="11">
        <f aca="true" t="shared" si="4" ref="D15:J15">D65*$C$14+D66</f>
        <v>14.2</v>
      </c>
      <c r="E15" s="11">
        <f t="shared" si="4"/>
        <v>44.059999999999995</v>
      </c>
      <c r="F15" s="11">
        <f t="shared" si="4"/>
        <v>58.74000000000001</v>
      </c>
      <c r="G15" s="11">
        <f t="shared" si="4"/>
        <v>88.11999999999999</v>
      </c>
      <c r="H15" s="11">
        <f t="shared" si="4"/>
        <v>132.16</v>
      </c>
      <c r="I15" s="11">
        <f t="shared" si="4"/>
        <v>220.28</v>
      </c>
      <c r="J15" s="12">
        <f t="shared" si="4"/>
        <v>367.12</v>
      </c>
      <c r="K15" s="39"/>
      <c r="L15" s="44"/>
      <c r="M15" s="44"/>
      <c r="N15" s="39"/>
      <c r="O15" s="39"/>
    </row>
    <row r="16" spans="2:15" ht="15">
      <c r="B16" s="56" t="s">
        <v>5</v>
      </c>
      <c r="C16" s="57"/>
      <c r="D16" s="13">
        <f aca="true" t="shared" si="5" ref="D16:J16">IF(D14&lt;&gt;" ",(D15-$C$15)/D15," ")</f>
        <v>0.1549295774647887</v>
      </c>
      <c r="E16" s="13" t="str">
        <f t="shared" si="5"/>
        <v> </v>
      </c>
      <c r="F16" s="13" t="str">
        <f t="shared" si="5"/>
        <v> </v>
      </c>
      <c r="G16" s="13" t="str">
        <f t="shared" si="5"/>
        <v> </v>
      </c>
      <c r="H16" s="13" t="str">
        <f t="shared" si="5"/>
        <v> </v>
      </c>
      <c r="I16" s="13" t="str">
        <f t="shared" si="5"/>
        <v> </v>
      </c>
      <c r="J16" s="14" t="str">
        <f t="shared" si="5"/>
        <v> </v>
      </c>
      <c r="K16" s="39"/>
      <c r="L16" s="44"/>
      <c r="M16" s="44"/>
      <c r="N16" s="39"/>
      <c r="O16" s="39"/>
    </row>
    <row r="17" spans="2:15" ht="15">
      <c r="B17" s="45" t="str">
        <f>IF(C14&gt;425,"ASME permite el uso de este material, pero no lo recomienda para uso prolongado por encima de 425ºC"," ")</f>
        <v> </v>
      </c>
      <c r="K17" s="39"/>
      <c r="N17" s="39"/>
      <c r="O17" s="39"/>
    </row>
    <row r="18" spans="11:15" ht="15">
      <c r="K18" s="39"/>
      <c r="L18" s="39"/>
      <c r="M18" s="39"/>
      <c r="N18" s="39"/>
      <c r="O18" s="39"/>
    </row>
    <row r="19" spans="2:15" ht="15">
      <c r="B19" s="48" t="s">
        <v>31</v>
      </c>
      <c r="C19" s="48"/>
      <c r="D19" s="48"/>
      <c r="E19" s="48"/>
      <c r="K19" s="39"/>
      <c r="L19" s="39"/>
      <c r="M19" s="39"/>
      <c r="N19" s="39"/>
      <c r="O19" s="39"/>
    </row>
    <row r="20" spans="2:15" ht="15">
      <c r="B20" t="s">
        <v>32</v>
      </c>
      <c r="K20" s="39"/>
      <c r="L20" s="39"/>
      <c r="M20" s="39"/>
      <c r="N20" s="39"/>
      <c r="O20" s="39"/>
    </row>
    <row r="21" spans="11:15" ht="15">
      <c r="K21" s="39"/>
      <c r="L21" s="39"/>
      <c r="M21" s="39"/>
      <c r="N21" s="39"/>
      <c r="O21" s="39"/>
    </row>
    <row r="22" spans="2:15" ht="15">
      <c r="B22" t="s">
        <v>33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2:15" ht="15">
      <c r="B23" s="46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6" ht="15" hidden="1"/>
    <row r="27" spans="2:15" ht="15" hidden="1">
      <c r="B27" s="17" t="s">
        <v>20</v>
      </c>
      <c r="C27" s="41"/>
      <c r="D27" s="41"/>
      <c r="E27" s="41"/>
      <c r="F27" s="41"/>
      <c r="G27" s="41"/>
      <c r="H27" s="41"/>
      <c r="I27" s="41"/>
      <c r="J27" s="18" t="str">
        <f>IF($C$5&gt;=300,"vR&gt;50"," ")</f>
        <v> </v>
      </c>
      <c r="K27" s="18" t="str">
        <f>IF($C$5&gt;=200,"vR&gt;50"," ")</f>
        <v> </v>
      </c>
      <c r="L27" s="18" t="str">
        <f>IF($C$5&gt;=200,"vR&gt;50"," ")</f>
        <v> </v>
      </c>
      <c r="M27" s="18" t="str">
        <f>IF($C$5&gt;=100,"vR&gt;50"," ")</f>
        <v>vR&gt;50</v>
      </c>
      <c r="N27" s="18" t="str">
        <f>IF($C$5&gt;=65,"vR&gt;50"," ")</f>
        <v>vR&gt;50</v>
      </c>
      <c r="O27" s="27" t="str">
        <f>IF($C$5&gt;=50,"vR&gt;50"," ")</f>
        <v>vR&gt;50</v>
      </c>
    </row>
    <row r="28" spans="2:15" ht="15" hidden="1">
      <c r="B28" s="17" t="s">
        <v>1</v>
      </c>
      <c r="C28" s="19" t="s">
        <v>0</v>
      </c>
      <c r="D28" s="51" t="s">
        <v>4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</row>
    <row r="29" spans="2:15" ht="15" hidden="1">
      <c r="B29" s="15">
        <v>1</v>
      </c>
      <c r="C29" s="28">
        <v>20</v>
      </c>
      <c r="D29" s="30">
        <v>2.5</v>
      </c>
      <c r="E29" s="30">
        <v>6</v>
      </c>
      <c r="F29" s="30">
        <v>10</v>
      </c>
      <c r="G29" s="30">
        <v>16</v>
      </c>
      <c r="H29" s="30">
        <v>25</v>
      </c>
      <c r="I29" s="30">
        <v>40</v>
      </c>
      <c r="J29" s="30">
        <f>IF($J$27="vR&gt;50",63,63)</f>
        <v>63</v>
      </c>
      <c r="K29" s="30">
        <f>IF($K$27="vR&gt;50",100,100)</f>
        <v>100</v>
      </c>
      <c r="L29" s="30">
        <f>IF($L$27="vR&gt;50",160,160)</f>
        <v>160</v>
      </c>
      <c r="M29" s="30">
        <f>IF($M$27="vR&gt;50",250,250)</f>
        <v>250</v>
      </c>
      <c r="N29" s="30">
        <f>IF($N$27="vR&gt;50",320,320)</f>
        <v>320</v>
      </c>
      <c r="O29" s="37">
        <f>IF($O$27="vR&gt;50",400,400)</f>
        <v>400</v>
      </c>
    </row>
    <row r="30" spans="2:15" ht="15" hidden="1">
      <c r="B30" s="15">
        <v>2</v>
      </c>
      <c r="C30" s="28">
        <v>100</v>
      </c>
      <c r="D30" s="30">
        <v>2.3</v>
      </c>
      <c r="E30" s="30">
        <v>5.5</v>
      </c>
      <c r="F30" s="30">
        <v>9.2</v>
      </c>
      <c r="G30" s="30">
        <v>14.8</v>
      </c>
      <c r="H30" s="30">
        <v>23.2</v>
      </c>
      <c r="I30" s="30">
        <v>37.1</v>
      </c>
      <c r="J30" s="30">
        <f>IF($J$27="vR&gt;50",54,58.5)</f>
        <v>58.5</v>
      </c>
      <c r="K30" s="30">
        <f>IF($K$27="vR&gt;50",85.7,92.8)</f>
        <v>92.8</v>
      </c>
      <c r="L30" s="30">
        <f>IF($L$27="vR&gt;50",137.1,148.5)</f>
        <v>148.5</v>
      </c>
      <c r="M30" s="30">
        <f>IF($M$27="vR&gt;50",214.2,232.1)</f>
        <v>214.2</v>
      </c>
      <c r="N30" s="30">
        <f>IF($N$27="vR&gt;50",274.2,297.1)</f>
        <v>274.2</v>
      </c>
      <c r="O30" s="31">
        <f>IF($O$27="vR&gt;50",342.8,371.4)</f>
        <v>342.8</v>
      </c>
    </row>
    <row r="31" spans="2:15" ht="15" hidden="1">
      <c r="B31" s="15">
        <v>3</v>
      </c>
      <c r="C31" s="28">
        <v>150</v>
      </c>
      <c r="D31" s="30">
        <v>2.2</v>
      </c>
      <c r="E31" s="30">
        <v>5.2</v>
      </c>
      <c r="F31" s="30">
        <v>8.8</v>
      </c>
      <c r="G31" s="30">
        <v>14</v>
      </c>
      <c r="H31" s="30">
        <v>22</v>
      </c>
      <c r="I31" s="30">
        <v>35.2</v>
      </c>
      <c r="J31" s="30">
        <f>IF($J$27="vR&gt;50",52.5,55.5)</f>
        <v>55.5</v>
      </c>
      <c r="K31" s="30">
        <f>IF($K$27="vR&gt;50",83.3,88)</f>
        <v>88</v>
      </c>
      <c r="L31" s="30">
        <f>IF($L$27="vR&gt;50",133.3,140.9)</f>
        <v>140.9</v>
      </c>
      <c r="M31" s="30">
        <f>IF($M$27="vR&gt;50",208.3,220.2)</f>
        <v>208.3</v>
      </c>
      <c r="N31" s="30">
        <f>IF($N$27="vR&gt;50",266.6,281.9)</f>
        <v>266.6</v>
      </c>
      <c r="O31" s="31">
        <f>IF($O$27="vR&gt;50",333.3,352.3)</f>
        <v>333.3</v>
      </c>
    </row>
    <row r="32" spans="2:15" ht="15" hidden="1">
      <c r="B32" s="15">
        <v>4</v>
      </c>
      <c r="C32" s="28">
        <v>200</v>
      </c>
      <c r="D32" s="30">
        <v>2</v>
      </c>
      <c r="E32" s="30">
        <v>5</v>
      </c>
      <c r="F32" s="30">
        <v>8.3</v>
      </c>
      <c r="G32" s="30">
        <v>13.3</v>
      </c>
      <c r="H32" s="30">
        <v>20.8</v>
      </c>
      <c r="I32" s="30">
        <v>33.3</v>
      </c>
      <c r="J32" s="30">
        <f>IF($J$27="vR&gt;50",48.9,52.5)</f>
        <v>52.5</v>
      </c>
      <c r="K32" s="30">
        <f>IF($K$27="vR&gt;50",77.6,83.3)</f>
        <v>83.3</v>
      </c>
      <c r="L32" s="30">
        <f>IF($L$27="vR&gt;50",124.1,133.3)</f>
        <v>133.3</v>
      </c>
      <c r="M32" s="30">
        <f>IF($M$27="vR&gt;50",194,208.3)</f>
        <v>194</v>
      </c>
      <c r="N32" s="30">
        <f>IF($N$27="vR&gt;50",248.3,266.6)</f>
        <v>248.3</v>
      </c>
      <c r="O32" s="31">
        <f>IF($O$27="vR&gt;50",310.4,333.3)</f>
        <v>310.4</v>
      </c>
    </row>
    <row r="33" spans="2:15" ht="15" hidden="1">
      <c r="B33" s="15">
        <v>5</v>
      </c>
      <c r="C33" s="28">
        <v>250</v>
      </c>
      <c r="D33" s="30">
        <v>1.9</v>
      </c>
      <c r="E33" s="30">
        <v>4.5</v>
      </c>
      <c r="F33" s="30">
        <v>7.6</v>
      </c>
      <c r="G33" s="30">
        <v>12.1</v>
      </c>
      <c r="H33" s="30">
        <v>19</v>
      </c>
      <c r="I33" s="30">
        <v>30.4</v>
      </c>
      <c r="J33" s="30">
        <f>IF($J$27="vR&gt;50",44.7,48)</f>
        <v>48</v>
      </c>
      <c r="K33" s="30">
        <f>IF($K$27="vR&gt;50",70.9,76.1)</f>
        <v>76.1</v>
      </c>
      <c r="L33" s="30">
        <f>IF($L$27="vR&gt;50",113.5,121.9)</f>
        <v>121.9</v>
      </c>
      <c r="M33" s="30">
        <f>IF($M$27="vR&gt;50",177.3,190.4)</f>
        <v>177.3</v>
      </c>
      <c r="N33" s="30">
        <f>IF($N$27="vR&gt;50",277,243.8)</f>
        <v>277</v>
      </c>
      <c r="O33" s="31">
        <f>IF($O$27="vR&gt;50",283.8,304.7)</f>
        <v>283.8</v>
      </c>
    </row>
    <row r="34" spans="2:15" ht="15" hidden="1">
      <c r="B34" s="15">
        <v>6</v>
      </c>
      <c r="C34" s="28">
        <v>300</v>
      </c>
      <c r="D34" s="30">
        <v>1.7</v>
      </c>
      <c r="E34" s="30">
        <v>4.1</v>
      </c>
      <c r="F34" s="30">
        <v>6.9</v>
      </c>
      <c r="G34" s="30">
        <v>11</v>
      </c>
      <c r="H34" s="30">
        <v>17.2</v>
      </c>
      <c r="I34" s="30">
        <v>27.6</v>
      </c>
      <c r="J34" s="30">
        <f>IF($J$27="vR&gt;50",40.5,43.5)</f>
        <v>43.5</v>
      </c>
      <c r="K34" s="30">
        <f>IF($K$27="vR&gt;50",64.2,69)</f>
        <v>69</v>
      </c>
      <c r="L34" s="30">
        <f>IF($L$27="vR&gt;50",102.8,110.4)</f>
        <v>110.4</v>
      </c>
      <c r="M34" s="30">
        <f>IF($M$27="vR&gt;50",160.7,172.6)</f>
        <v>160.7</v>
      </c>
      <c r="N34" s="30">
        <f>IF($N$27="vR&gt;50",205.7,220.9)</f>
        <v>205.7</v>
      </c>
      <c r="O34" s="31">
        <f>IF($O$27="vR&gt;50",257.1,276.1)</f>
        <v>257.1</v>
      </c>
    </row>
    <row r="35" spans="2:15" ht="15" hidden="1">
      <c r="B35" s="15">
        <v>7</v>
      </c>
      <c r="C35" s="28">
        <v>350</v>
      </c>
      <c r="D35" s="30">
        <v>1.6</v>
      </c>
      <c r="E35" s="30">
        <v>3.8</v>
      </c>
      <c r="F35" s="30">
        <v>6.4</v>
      </c>
      <c r="G35" s="30">
        <v>10.2</v>
      </c>
      <c r="H35" s="30">
        <v>16</v>
      </c>
      <c r="I35" s="30">
        <v>25.7</v>
      </c>
      <c r="J35" s="30">
        <f>IF($J$27="vR&gt;50",38.1,40.5)</f>
        <v>40.5</v>
      </c>
      <c r="K35" s="30">
        <f>IF($K$27="vR&gt;50",60.4,64.2)</f>
        <v>64.2</v>
      </c>
      <c r="L35" s="30">
        <f>IF($L$27="vR&gt;50",96.7,102.8)</f>
        <v>102.8</v>
      </c>
      <c r="M35" s="30">
        <f>IF($M$27="vR&gt;50",151.1,160.7)</f>
        <v>151.1</v>
      </c>
      <c r="N35" s="30">
        <f>IF($N$27="vR&gt;50",193.5,205.7)</f>
        <v>193.5</v>
      </c>
      <c r="O35" s="31">
        <f>IF($O$27="vR&gt;50",241.9,257.1)</f>
        <v>241.9</v>
      </c>
    </row>
    <row r="36" spans="2:15" ht="15" hidden="1">
      <c r="B36" s="15">
        <v>8</v>
      </c>
      <c r="C36" s="28">
        <v>400</v>
      </c>
      <c r="D36" s="30">
        <v>1.4</v>
      </c>
      <c r="E36" s="30">
        <v>3.5</v>
      </c>
      <c r="F36" s="30">
        <v>5.9</v>
      </c>
      <c r="G36" s="30">
        <v>9.5</v>
      </c>
      <c r="H36" s="30">
        <v>14.8</v>
      </c>
      <c r="I36" s="30">
        <v>23.8</v>
      </c>
      <c r="J36" s="30">
        <f>IF($J$27="vR&gt;50",36,37.5)</f>
        <v>37.5</v>
      </c>
      <c r="K36" s="30">
        <f>IF($K$27="vR&gt;50",57.1,59.5)</f>
        <v>59.5</v>
      </c>
      <c r="L36" s="30">
        <f>IF($L$27="vR&gt;50",91.4,95.2)</f>
        <v>95.2</v>
      </c>
      <c r="M36" s="30">
        <f>IF($M$27="vR&gt;50",142.8,148.8)</f>
        <v>142.8</v>
      </c>
      <c r="N36" s="30">
        <f>IF($N$27="vR&gt;50",182.8,190.4)</f>
        <v>182.8</v>
      </c>
      <c r="O36" s="31">
        <f>IF($O$27="vR&gt;50",228.5,238)</f>
        <v>228.5</v>
      </c>
    </row>
    <row r="37" spans="2:15" ht="15" hidden="1">
      <c r="B37" s="16">
        <v>9</v>
      </c>
      <c r="C37" s="29">
        <v>450.00000001</v>
      </c>
      <c r="D37" s="32">
        <v>0.8</v>
      </c>
      <c r="E37" s="32">
        <v>1.9</v>
      </c>
      <c r="F37" s="32">
        <v>3.2</v>
      </c>
      <c r="G37" s="32">
        <v>5.2</v>
      </c>
      <c r="H37" s="32">
        <v>8.2</v>
      </c>
      <c r="I37" s="32">
        <v>13.1</v>
      </c>
      <c r="J37" s="30">
        <f>IF($J$27="vR&gt;50",20.7,20.7)</f>
        <v>20.7</v>
      </c>
      <c r="K37" s="30">
        <f>IF($K$27="vR&gt;50",32.8,32.8)</f>
        <v>32.8</v>
      </c>
      <c r="L37" s="30">
        <f>IF($L$27="vR&gt;50",52.5,52.5)</f>
        <v>52.5</v>
      </c>
      <c r="M37" s="30">
        <f>IF($M$27="vR&gt;50",82.1,82.1)</f>
        <v>82.1</v>
      </c>
      <c r="N37" s="30">
        <f>IF($N$27="vR&gt;50",105.1,105.1)</f>
        <v>105.1</v>
      </c>
      <c r="O37" s="33">
        <f>IF($O$27="vR&gt;50",131.4,131.4)</f>
        <v>131.4</v>
      </c>
    </row>
    <row r="38" spans="2:15" ht="15" hidden="1">
      <c r="B38" s="7">
        <f>MATCH(C38,C29:C37)</f>
        <v>3</v>
      </c>
      <c r="C38" s="23">
        <f>VLOOKUP(C6,C29:C37,1)</f>
        <v>150</v>
      </c>
      <c r="D38" s="2">
        <f>VLOOKUP(B38,B29:D37,3)</f>
        <v>2.2</v>
      </c>
      <c r="E38" s="2">
        <f>VLOOKUP(B38,B29:E37,4)</f>
        <v>5.2</v>
      </c>
      <c r="F38" s="2">
        <f>VLOOKUP(B38,B29:F37,5)</f>
        <v>8.8</v>
      </c>
      <c r="G38" s="2">
        <f>VLOOKUP(B38,B29:G37,6)</f>
        <v>14</v>
      </c>
      <c r="H38" s="2">
        <f>VLOOKUP(B38,B29:H37,7)</f>
        <v>22</v>
      </c>
      <c r="I38" s="2">
        <f>VLOOKUP(B38,B29:I37,8)</f>
        <v>35.2</v>
      </c>
      <c r="J38" s="2">
        <f>VLOOKUP(B38,B29:J37,9)</f>
        <v>55.5</v>
      </c>
      <c r="K38" s="2">
        <f>VLOOKUP(B38,B29:K37,10)</f>
        <v>88</v>
      </c>
      <c r="L38" s="2">
        <f>VLOOKUP(B38,B29:L37,11)</f>
        <v>140.9</v>
      </c>
      <c r="M38" s="2">
        <f>VLOOKUP(B38,B29:M37,12)</f>
        <v>208.3</v>
      </c>
      <c r="N38" s="2">
        <f>VLOOKUP(B38,B29:N37,13)</f>
        <v>266.6</v>
      </c>
      <c r="O38" s="3">
        <f>VLOOKUP(B38,B29:O37,14)</f>
        <v>333.3</v>
      </c>
    </row>
    <row r="39" spans="2:15" ht="15" hidden="1">
      <c r="B39" s="16">
        <f>B38+1</f>
        <v>4</v>
      </c>
      <c r="C39" s="20">
        <f>VLOOKUP(B39,B29:C37,2)</f>
        <v>200</v>
      </c>
      <c r="D39" s="5">
        <f>VLOOKUP(B39,B29:D37,3)</f>
        <v>2</v>
      </c>
      <c r="E39" s="5">
        <f>VLOOKUP(B39,B29:E37,4)</f>
        <v>5</v>
      </c>
      <c r="F39" s="5">
        <f>VLOOKUP(B39,B29:F37,5)</f>
        <v>8.3</v>
      </c>
      <c r="G39" s="5">
        <f>VLOOKUP(B39,B29:G37,6)</f>
        <v>13.3</v>
      </c>
      <c r="H39" s="5">
        <f>VLOOKUP(B39,B29:H37,7)</f>
        <v>20.8</v>
      </c>
      <c r="I39" s="5">
        <f>VLOOKUP(B39,B29:I37,8)</f>
        <v>33.3</v>
      </c>
      <c r="J39" s="5">
        <f>VLOOKUP(B39,B29:J37,9)</f>
        <v>52.5</v>
      </c>
      <c r="K39" s="5">
        <f>VLOOKUP(B39,B29:K37,10)</f>
        <v>83.3</v>
      </c>
      <c r="L39" s="5">
        <f>VLOOKUP(B39,B29:L37,11)</f>
        <v>133.3</v>
      </c>
      <c r="M39" s="5">
        <f>VLOOKUP(B39,B29:M37,12)</f>
        <v>194</v>
      </c>
      <c r="N39" s="5">
        <f>VLOOKUP(B39,B29:N37,13)</f>
        <v>248.3</v>
      </c>
      <c r="O39" s="6">
        <f>VLOOKUP(B39,B29:O37,14)</f>
        <v>310.4</v>
      </c>
    </row>
    <row r="40" spans="2:15" ht="15" hidden="1">
      <c r="B40" s="7" t="s">
        <v>2</v>
      </c>
      <c r="C40" s="24"/>
      <c r="D40" s="1">
        <f aca="true" t="shared" si="6" ref="D40:O40">(D39-D38)/($C$39-$C$38)</f>
        <v>-0.0040000000000000036</v>
      </c>
      <c r="E40" s="1">
        <f t="shared" si="6"/>
        <v>-0.0040000000000000036</v>
      </c>
      <c r="F40" s="1">
        <f t="shared" si="6"/>
        <v>-0.01</v>
      </c>
      <c r="G40" s="1">
        <f t="shared" si="6"/>
        <v>-0.013999999999999986</v>
      </c>
      <c r="H40" s="1">
        <f t="shared" si="6"/>
        <v>-0.023999999999999987</v>
      </c>
      <c r="I40" s="1">
        <f t="shared" si="6"/>
        <v>-0.03800000000000012</v>
      </c>
      <c r="J40" s="1">
        <f>(J39-J38)/($C$39-$C$38)</f>
        <v>-0.06</v>
      </c>
      <c r="K40" s="1">
        <f>(K39-K38)/($C$39-$C$38)</f>
        <v>-0.09400000000000006</v>
      </c>
      <c r="L40" s="1">
        <f>(L39-L38)/($C$39-$C$38)</f>
        <v>-0.15199999999999989</v>
      </c>
      <c r="M40" s="1">
        <f>(M39-M38)/($C$39-$C$38)</f>
        <v>-0.28600000000000025</v>
      </c>
      <c r="N40" s="1">
        <f>(N39-N38)/($C$39-$C$38)</f>
        <v>-0.3660000000000002</v>
      </c>
      <c r="O40" s="21">
        <f t="shared" si="6"/>
        <v>-0.4580000000000007</v>
      </c>
    </row>
    <row r="41" spans="2:15" ht="15" hidden="1">
      <c r="B41" s="16" t="s">
        <v>3</v>
      </c>
      <c r="C41" s="25"/>
      <c r="D41" s="4">
        <f aca="true" t="shared" si="7" ref="D41:O41">D38-D40*$C$38</f>
        <v>2.8000000000000007</v>
      </c>
      <c r="E41" s="4">
        <f t="shared" si="7"/>
        <v>5.800000000000001</v>
      </c>
      <c r="F41" s="4">
        <f t="shared" si="7"/>
        <v>10.3</v>
      </c>
      <c r="G41" s="4">
        <f t="shared" si="7"/>
        <v>16.099999999999998</v>
      </c>
      <c r="H41" s="4">
        <f t="shared" si="7"/>
        <v>25.599999999999998</v>
      </c>
      <c r="I41" s="4">
        <f t="shared" si="7"/>
        <v>40.90000000000002</v>
      </c>
      <c r="J41" s="4">
        <f>J38-J40*$C$38</f>
        <v>64.5</v>
      </c>
      <c r="K41" s="4">
        <f>K38-K40*$C$38</f>
        <v>102.10000000000001</v>
      </c>
      <c r="L41" s="4">
        <f>L38-L40*$C$38</f>
        <v>163.7</v>
      </c>
      <c r="M41" s="4">
        <f>M38-M40*$C$38</f>
        <v>251.20000000000005</v>
      </c>
      <c r="N41" s="4">
        <f>N38-N40*$C$38</f>
        <v>321.50000000000006</v>
      </c>
      <c r="O41" s="22">
        <f t="shared" si="7"/>
        <v>402.0000000000001</v>
      </c>
    </row>
    <row r="42" ht="15" hidden="1"/>
    <row r="43" ht="15" hidden="1"/>
    <row r="44" spans="2:10" ht="15" hidden="1">
      <c r="B44" s="17" t="s">
        <v>29</v>
      </c>
      <c r="C44" s="41"/>
      <c r="D44" s="41"/>
      <c r="E44" s="41"/>
      <c r="F44" s="41"/>
      <c r="G44" s="41"/>
      <c r="H44" s="41"/>
      <c r="I44" s="41"/>
      <c r="J44" s="43"/>
    </row>
    <row r="45" spans="2:10" ht="15" hidden="1">
      <c r="B45" s="17" t="s">
        <v>1</v>
      </c>
      <c r="C45" s="19" t="s">
        <v>0</v>
      </c>
      <c r="D45" s="51" t="s">
        <v>4</v>
      </c>
      <c r="E45" s="51"/>
      <c r="F45" s="51"/>
      <c r="G45" s="51"/>
      <c r="H45" s="51"/>
      <c r="I45" s="51"/>
      <c r="J45" s="52"/>
    </row>
    <row r="46" spans="2:10" ht="15" hidden="1">
      <c r="B46" s="15">
        <v>1</v>
      </c>
      <c r="C46" s="28">
        <v>-29</v>
      </c>
      <c r="D46" s="30">
        <v>19.6</v>
      </c>
      <c r="E46" s="30">
        <v>51.1</v>
      </c>
      <c r="F46" s="30">
        <v>68.1</v>
      </c>
      <c r="G46" s="30">
        <v>102.1</v>
      </c>
      <c r="H46" s="30">
        <v>153.2</v>
      </c>
      <c r="I46" s="30">
        <v>255.3</v>
      </c>
      <c r="J46" s="31">
        <v>425.5</v>
      </c>
    </row>
    <row r="47" spans="2:10" ht="15" hidden="1">
      <c r="B47" s="15">
        <v>2</v>
      </c>
      <c r="C47" s="28">
        <v>38</v>
      </c>
      <c r="D47" s="30">
        <v>19.6</v>
      </c>
      <c r="E47" s="30">
        <v>51.1</v>
      </c>
      <c r="F47" s="30">
        <v>68.1</v>
      </c>
      <c r="G47" s="30">
        <v>102.1</v>
      </c>
      <c r="H47" s="30">
        <v>153.2</v>
      </c>
      <c r="I47" s="30">
        <v>255.3</v>
      </c>
      <c r="J47" s="31">
        <v>425.5</v>
      </c>
    </row>
    <row r="48" spans="2:10" ht="15" hidden="1">
      <c r="B48" s="15">
        <v>3</v>
      </c>
      <c r="C48" s="28">
        <v>50</v>
      </c>
      <c r="D48" s="30">
        <v>19.2</v>
      </c>
      <c r="E48" s="30">
        <v>50.1</v>
      </c>
      <c r="F48" s="30">
        <v>66.8</v>
      </c>
      <c r="G48" s="30">
        <v>100.2</v>
      </c>
      <c r="H48" s="30">
        <v>150.4</v>
      </c>
      <c r="I48" s="30">
        <v>250.6</v>
      </c>
      <c r="J48" s="31">
        <v>417.7</v>
      </c>
    </row>
    <row r="49" spans="2:10" ht="15" hidden="1">
      <c r="B49" s="15">
        <v>4</v>
      </c>
      <c r="C49" s="28">
        <v>100</v>
      </c>
      <c r="D49" s="30">
        <v>17.7</v>
      </c>
      <c r="E49" s="30">
        <v>46.6</v>
      </c>
      <c r="F49" s="30">
        <v>62.1</v>
      </c>
      <c r="G49" s="30">
        <v>93.2</v>
      </c>
      <c r="H49" s="30">
        <v>139.8</v>
      </c>
      <c r="I49" s="30">
        <v>233</v>
      </c>
      <c r="J49" s="31">
        <v>388.3</v>
      </c>
    </row>
    <row r="50" spans="2:10" ht="15" hidden="1">
      <c r="B50" s="15">
        <v>5</v>
      </c>
      <c r="C50" s="28">
        <v>150</v>
      </c>
      <c r="D50" s="30">
        <v>15.8</v>
      </c>
      <c r="E50" s="30">
        <v>45.1</v>
      </c>
      <c r="F50" s="30">
        <v>60.1</v>
      </c>
      <c r="G50" s="30">
        <v>90.2</v>
      </c>
      <c r="H50" s="30">
        <v>135.2</v>
      </c>
      <c r="I50" s="30">
        <v>225.4</v>
      </c>
      <c r="J50" s="31">
        <v>375.6</v>
      </c>
    </row>
    <row r="51" spans="2:10" ht="15" hidden="1">
      <c r="B51" s="15">
        <v>6</v>
      </c>
      <c r="C51" s="28">
        <v>200</v>
      </c>
      <c r="D51" s="30">
        <v>13.8</v>
      </c>
      <c r="E51" s="30">
        <v>43.8</v>
      </c>
      <c r="F51" s="30">
        <v>58.4</v>
      </c>
      <c r="G51" s="30">
        <v>87.6</v>
      </c>
      <c r="H51" s="30">
        <v>131.4</v>
      </c>
      <c r="I51" s="30">
        <v>219</v>
      </c>
      <c r="J51" s="31">
        <v>365</v>
      </c>
    </row>
    <row r="52" spans="2:10" ht="15" hidden="1">
      <c r="B52" s="15">
        <v>7</v>
      </c>
      <c r="C52" s="28">
        <v>250</v>
      </c>
      <c r="D52" s="30">
        <v>12.1</v>
      </c>
      <c r="E52" s="30">
        <v>41.9</v>
      </c>
      <c r="F52" s="30">
        <v>55.9</v>
      </c>
      <c r="G52" s="30">
        <v>83.9</v>
      </c>
      <c r="H52" s="30">
        <v>125.8</v>
      </c>
      <c r="I52" s="30">
        <v>209.7</v>
      </c>
      <c r="J52" s="31">
        <v>349.5</v>
      </c>
    </row>
    <row r="53" spans="2:10" ht="15" hidden="1">
      <c r="B53" s="15">
        <v>8</v>
      </c>
      <c r="C53" s="28">
        <v>300</v>
      </c>
      <c r="D53" s="30">
        <v>10.2</v>
      </c>
      <c r="E53" s="30">
        <v>39.8</v>
      </c>
      <c r="F53" s="30">
        <v>53.1</v>
      </c>
      <c r="G53" s="30">
        <v>79.6</v>
      </c>
      <c r="H53" s="30">
        <v>119.5</v>
      </c>
      <c r="I53" s="30">
        <v>199.1</v>
      </c>
      <c r="J53" s="31">
        <v>331.8</v>
      </c>
    </row>
    <row r="54" spans="2:10" ht="15" hidden="1">
      <c r="B54" s="15">
        <v>9</v>
      </c>
      <c r="C54" s="28">
        <v>325</v>
      </c>
      <c r="D54" s="30">
        <v>9.3</v>
      </c>
      <c r="E54" s="30">
        <v>38.7</v>
      </c>
      <c r="F54" s="30">
        <v>51.6</v>
      </c>
      <c r="G54" s="30">
        <v>77.4</v>
      </c>
      <c r="H54" s="30">
        <v>116.1</v>
      </c>
      <c r="I54" s="30">
        <v>193.6</v>
      </c>
      <c r="J54" s="31">
        <v>322.6</v>
      </c>
    </row>
    <row r="55" spans="2:10" ht="15" hidden="1">
      <c r="B55" s="15">
        <v>10</v>
      </c>
      <c r="C55" s="28">
        <v>350</v>
      </c>
      <c r="D55" s="30">
        <v>8.4</v>
      </c>
      <c r="E55" s="30">
        <v>37.6</v>
      </c>
      <c r="F55" s="30">
        <v>50.1</v>
      </c>
      <c r="G55" s="30">
        <v>75.1</v>
      </c>
      <c r="H55" s="30">
        <v>112.7</v>
      </c>
      <c r="I55" s="30">
        <v>187.8</v>
      </c>
      <c r="J55" s="31">
        <v>313</v>
      </c>
    </row>
    <row r="56" spans="2:10" ht="15" hidden="1">
      <c r="B56" s="15">
        <v>11</v>
      </c>
      <c r="C56" s="28">
        <v>375</v>
      </c>
      <c r="D56" s="30">
        <v>7.4</v>
      </c>
      <c r="E56" s="30">
        <v>36.4</v>
      </c>
      <c r="F56" s="30">
        <v>48.5</v>
      </c>
      <c r="G56" s="30">
        <v>72.7</v>
      </c>
      <c r="H56" s="30">
        <v>109.1</v>
      </c>
      <c r="I56" s="30">
        <v>181.8</v>
      </c>
      <c r="J56" s="31">
        <v>303.1</v>
      </c>
    </row>
    <row r="57" spans="2:10" ht="15" hidden="1">
      <c r="B57" s="15">
        <v>12</v>
      </c>
      <c r="C57" s="28">
        <v>400</v>
      </c>
      <c r="D57" s="30">
        <v>6.5</v>
      </c>
      <c r="E57" s="30">
        <v>34.7</v>
      </c>
      <c r="F57" s="30">
        <v>46.3</v>
      </c>
      <c r="G57" s="30">
        <v>69.4</v>
      </c>
      <c r="H57" s="30">
        <v>104.2</v>
      </c>
      <c r="I57" s="30">
        <v>173.6</v>
      </c>
      <c r="J57" s="31">
        <v>289.3</v>
      </c>
    </row>
    <row r="58" spans="2:10" ht="15" hidden="1">
      <c r="B58" s="15">
        <v>13</v>
      </c>
      <c r="C58" s="28">
        <v>425</v>
      </c>
      <c r="D58" s="30">
        <v>5.5</v>
      </c>
      <c r="E58" s="30">
        <v>28.8</v>
      </c>
      <c r="F58" s="30">
        <v>38.4</v>
      </c>
      <c r="G58" s="30">
        <v>57.5</v>
      </c>
      <c r="H58" s="30">
        <v>86.3</v>
      </c>
      <c r="I58" s="30">
        <v>143.8</v>
      </c>
      <c r="J58" s="31">
        <v>239.7</v>
      </c>
    </row>
    <row r="59" spans="2:10" ht="15" hidden="1">
      <c r="B59" s="15">
        <v>14</v>
      </c>
      <c r="C59" s="28">
        <v>450</v>
      </c>
      <c r="D59" s="30">
        <v>4.6</v>
      </c>
      <c r="E59" s="30">
        <v>23</v>
      </c>
      <c r="F59" s="30">
        <v>30.7</v>
      </c>
      <c r="G59" s="30">
        <v>46</v>
      </c>
      <c r="H59" s="30">
        <v>69</v>
      </c>
      <c r="I59" s="30">
        <v>115</v>
      </c>
      <c r="J59" s="31">
        <v>191.7</v>
      </c>
    </row>
    <row r="60" spans="2:10" ht="15" hidden="1">
      <c r="B60" s="15">
        <v>15</v>
      </c>
      <c r="C60" s="28">
        <v>475</v>
      </c>
      <c r="D60" s="30">
        <v>3.7</v>
      </c>
      <c r="E60" s="30">
        <v>17.4</v>
      </c>
      <c r="F60" s="30">
        <v>23.2</v>
      </c>
      <c r="G60" s="30">
        <v>34.9</v>
      </c>
      <c r="H60" s="30">
        <v>52.3</v>
      </c>
      <c r="I60" s="30">
        <v>87.2</v>
      </c>
      <c r="J60" s="31">
        <v>145.3</v>
      </c>
    </row>
    <row r="61" spans="2:10" ht="15" hidden="1">
      <c r="B61" s="15">
        <v>16</v>
      </c>
      <c r="C61" s="28">
        <v>500</v>
      </c>
      <c r="D61" s="30">
        <v>2.8</v>
      </c>
      <c r="E61" s="30">
        <v>11.8</v>
      </c>
      <c r="F61" s="30">
        <v>15.7</v>
      </c>
      <c r="G61" s="30">
        <v>23.5</v>
      </c>
      <c r="H61" s="30">
        <v>35.3</v>
      </c>
      <c r="I61" s="30">
        <v>58.8</v>
      </c>
      <c r="J61" s="31">
        <v>97.9</v>
      </c>
    </row>
    <row r="62" spans="2:10" ht="15" hidden="1">
      <c r="B62" s="16">
        <v>17</v>
      </c>
      <c r="C62" s="29">
        <v>538</v>
      </c>
      <c r="D62" s="32">
        <v>1.4</v>
      </c>
      <c r="E62" s="32">
        <v>5.9</v>
      </c>
      <c r="F62" s="32">
        <v>7.9</v>
      </c>
      <c r="G62" s="32">
        <v>11.8</v>
      </c>
      <c r="H62" s="32">
        <v>17.7</v>
      </c>
      <c r="I62" s="32">
        <v>29.5</v>
      </c>
      <c r="J62" s="33">
        <v>49.2</v>
      </c>
    </row>
    <row r="63" spans="2:10" ht="15" hidden="1">
      <c r="B63" s="7">
        <f>MATCH(C63,C46:C62)</f>
        <v>5</v>
      </c>
      <c r="C63" s="23">
        <f>VLOOKUP(C14,C46:C62,1)</f>
        <v>150</v>
      </c>
      <c r="D63" s="2">
        <f>VLOOKUP(B63,B46:D62,3)</f>
        <v>15.8</v>
      </c>
      <c r="E63" s="2">
        <f>VLOOKUP(B63,B46:E62,4)</f>
        <v>45.1</v>
      </c>
      <c r="F63" s="2">
        <f>VLOOKUP(B63,B46:F62,5)</f>
        <v>60.1</v>
      </c>
      <c r="G63" s="2">
        <f>VLOOKUP(B63,B46:G62,6)</f>
        <v>90.2</v>
      </c>
      <c r="H63" s="2">
        <f>VLOOKUP(B63,B46:H62,7)</f>
        <v>135.2</v>
      </c>
      <c r="I63" s="2">
        <f>VLOOKUP(B63,B46:I62,8)</f>
        <v>225.4</v>
      </c>
      <c r="J63" s="3">
        <f>VLOOKUP(B63,B46:J62,9)</f>
        <v>375.6</v>
      </c>
    </row>
    <row r="64" spans="2:10" ht="15" hidden="1">
      <c r="B64" s="16">
        <f>B63+1</f>
        <v>6</v>
      </c>
      <c r="C64" s="20">
        <f>VLOOKUP(B64,B46:C62,2)</f>
        <v>200</v>
      </c>
      <c r="D64" s="5">
        <f>VLOOKUP(B64,B46:D62,3)</f>
        <v>13.8</v>
      </c>
      <c r="E64" s="5">
        <f>VLOOKUP(B64,B46:E62,4)</f>
        <v>43.8</v>
      </c>
      <c r="F64" s="5">
        <f>VLOOKUP(B64,B46:F62,5)</f>
        <v>58.4</v>
      </c>
      <c r="G64" s="5">
        <f>VLOOKUP(B64,B46:G62,6)</f>
        <v>87.6</v>
      </c>
      <c r="H64" s="5">
        <f>VLOOKUP(B64,B46:H62,7)</f>
        <v>131.4</v>
      </c>
      <c r="I64" s="5">
        <f>VLOOKUP(B64,B46:I62,8)</f>
        <v>219</v>
      </c>
      <c r="J64" s="6">
        <f>VLOOKUP(B64,B46:J62,9)</f>
        <v>365</v>
      </c>
    </row>
    <row r="65" spans="2:10" ht="15" hidden="1">
      <c r="B65" s="7" t="s">
        <v>2</v>
      </c>
      <c r="C65" s="24"/>
      <c r="D65" s="1">
        <f aca="true" t="shared" si="8" ref="D65:J65">(D64-D63)/($C$64-$C$63)</f>
        <v>-0.04</v>
      </c>
      <c r="E65" s="1">
        <f t="shared" si="8"/>
        <v>-0.026000000000000086</v>
      </c>
      <c r="F65" s="1">
        <f t="shared" si="8"/>
        <v>-0.03400000000000006</v>
      </c>
      <c r="G65" s="1">
        <f t="shared" si="8"/>
        <v>-0.05200000000000017</v>
      </c>
      <c r="H65" s="1">
        <f t="shared" si="8"/>
        <v>-0.07599999999999967</v>
      </c>
      <c r="I65" s="1">
        <f t="shared" si="8"/>
        <v>-0.1280000000000001</v>
      </c>
      <c r="J65" s="21">
        <f t="shared" si="8"/>
        <v>-0.21200000000000047</v>
      </c>
    </row>
    <row r="66" spans="2:10" ht="15" hidden="1">
      <c r="B66" s="16" t="s">
        <v>3</v>
      </c>
      <c r="C66" s="25"/>
      <c r="D66" s="4">
        <f aca="true" t="shared" si="9" ref="D66:J66">D63-D65*$C$63</f>
        <v>21.8</v>
      </c>
      <c r="E66" s="4">
        <f t="shared" si="9"/>
        <v>49.000000000000014</v>
      </c>
      <c r="F66" s="4">
        <f t="shared" si="9"/>
        <v>65.20000000000002</v>
      </c>
      <c r="G66" s="4">
        <f t="shared" si="9"/>
        <v>98.00000000000003</v>
      </c>
      <c r="H66" s="4">
        <f t="shared" si="9"/>
        <v>146.59999999999994</v>
      </c>
      <c r="I66" s="4">
        <f t="shared" si="9"/>
        <v>244.60000000000002</v>
      </c>
      <c r="J66" s="22">
        <f t="shared" si="9"/>
        <v>407.4000000000001</v>
      </c>
    </row>
  </sheetData>
  <sheetProtection sheet="1" objects="1" scenarios="1"/>
  <mergeCells count="7">
    <mergeCell ref="A1:P1"/>
    <mergeCell ref="D45:J45"/>
    <mergeCell ref="B12:J12"/>
    <mergeCell ref="D28:O28"/>
    <mergeCell ref="B8:C8"/>
    <mergeCell ref="B4:O4"/>
    <mergeCell ref="B16:C16"/>
  </mergeCells>
  <conditionalFormatting sqref="D5">
    <cfRule type="expression" priority="20" dxfId="0">
      <formula>$D$6="↑"</formula>
    </cfRule>
  </conditionalFormatting>
  <conditionalFormatting sqref="E5">
    <cfRule type="expression" priority="19" dxfId="0">
      <formula>$E$6="↑"</formula>
    </cfRule>
  </conditionalFormatting>
  <conditionalFormatting sqref="F5">
    <cfRule type="expression" priority="18" dxfId="0">
      <formula>$F$6="↑"</formula>
    </cfRule>
  </conditionalFormatting>
  <conditionalFormatting sqref="G5">
    <cfRule type="expression" priority="17" dxfId="0">
      <formula>$G$6="↑"</formula>
    </cfRule>
  </conditionalFormatting>
  <conditionalFormatting sqref="H5">
    <cfRule type="expression" priority="16" dxfId="0">
      <formula>$H$6="↑"</formula>
    </cfRule>
  </conditionalFormatting>
  <conditionalFormatting sqref="O5">
    <cfRule type="expression" priority="14" dxfId="0">
      <formula>$O$6="↑"</formula>
    </cfRule>
  </conditionalFormatting>
  <conditionalFormatting sqref="I5">
    <cfRule type="expression" priority="13" dxfId="0">
      <formula>$I$6="↑"</formula>
    </cfRule>
  </conditionalFormatting>
  <conditionalFormatting sqref="J5">
    <cfRule type="expression" priority="12" dxfId="0">
      <formula>$J$6="↑"</formula>
    </cfRule>
  </conditionalFormatting>
  <conditionalFormatting sqref="K5">
    <cfRule type="expression" priority="11" dxfId="0">
      <formula>$K$6="↑"</formula>
    </cfRule>
  </conditionalFormatting>
  <conditionalFormatting sqref="L5">
    <cfRule type="expression" priority="10" dxfId="0">
      <formula>$L$6="↑"</formula>
    </cfRule>
  </conditionalFormatting>
  <conditionalFormatting sqref="M5">
    <cfRule type="expression" priority="9" dxfId="0">
      <formula>$M$6="↑"</formula>
    </cfRule>
  </conditionalFormatting>
  <conditionalFormatting sqref="N5">
    <cfRule type="expression" priority="8" dxfId="0">
      <formula>$N$6="↑"</formula>
    </cfRule>
  </conditionalFormatting>
  <conditionalFormatting sqref="D13">
    <cfRule type="expression" priority="7" dxfId="0">
      <formula>$D$14="↑"</formula>
    </cfRule>
  </conditionalFormatting>
  <conditionalFormatting sqref="E13">
    <cfRule type="expression" priority="6" dxfId="0">
      <formula>$E$14="↑"</formula>
    </cfRule>
  </conditionalFormatting>
  <conditionalFormatting sqref="F13">
    <cfRule type="expression" priority="5" dxfId="0">
      <formula>$F$14="↑"</formula>
    </cfRule>
  </conditionalFormatting>
  <conditionalFormatting sqref="G13">
    <cfRule type="expression" priority="4" dxfId="0">
      <formula>$G$14="↑"</formula>
    </cfRule>
  </conditionalFormatting>
  <conditionalFormatting sqref="H13">
    <cfRule type="expression" priority="3" dxfId="0">
      <formula>$H$14="↑"</formula>
    </cfRule>
  </conditionalFormatting>
  <conditionalFormatting sqref="I13">
    <cfRule type="expression" priority="2" dxfId="0">
      <formula>$I$14="↑"</formula>
    </cfRule>
  </conditionalFormatting>
  <conditionalFormatting sqref="J13">
    <cfRule type="expression" priority="1" dxfId="0">
      <formula>$J$14="↑"</formula>
    </cfRule>
  </conditionalFormatting>
  <dataValidations count="1">
    <dataValidation type="list" allowBlank="1" showInputMessage="1" showErrorMessage="1" sqref="C5">
      <formula1>"10,15,20,25,32,40,50,65,80,100,125,150,200,250,300,350,400,500"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8" r:id="rId1"/>
  <ignoredErrors>
    <ignoredError sqref="C14:C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2016-04-20T08:21:09Z</cp:lastPrinted>
  <dcterms:created xsi:type="dcterms:W3CDTF">2006-09-12T12:46:56Z</dcterms:created>
  <dcterms:modified xsi:type="dcterms:W3CDTF">2016-04-20T09:17:06Z</dcterms:modified>
  <cp:category/>
  <cp:version/>
  <cp:contentType/>
  <cp:contentStatus/>
</cp:coreProperties>
</file>